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95" windowWidth="5805" windowHeight="8640" activeTab="0"/>
  </bookViews>
  <sheets>
    <sheet name="Civ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Dave Mattingly</author>
    <author>..</author>
  </authors>
  <commentList>
    <comment ref="B3" authorId="0">
      <text>
        <r>
          <rPr>
            <b/>
            <sz val="8"/>
            <rFont val="Tahoma"/>
            <family val="0"/>
          </rPr>
          <t>To use:
Place a 0 in the "own" column next to Civilization Cards you do not own, a 1 next to those that you do.    The current cost of other Civilization cards after earned credits will be automatically calculated.</t>
        </r>
      </text>
    </comment>
    <comment ref="C3" authorId="1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Enter a "1" if you want to buy this card, only cards with a "*" can be purchased</t>
        </r>
      </text>
    </comment>
    <comment ref="A3" authorId="1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Only cards with a "*" can be purchased this turn. Each time you enter a value in the "want to buy" column, it will adjust which cards you can purchase</t>
        </r>
      </text>
    </comment>
  </commentList>
</comments>
</file>

<file path=xl/sharedStrings.xml><?xml version="1.0" encoding="utf-8"?>
<sst xmlns="http://schemas.openxmlformats.org/spreadsheetml/2006/main" count="83" uniqueCount="82">
  <si>
    <t>Crafts</t>
  </si>
  <si>
    <t>Craft/Science</t>
  </si>
  <si>
    <t>Sciences</t>
  </si>
  <si>
    <t>Science/Art</t>
  </si>
  <si>
    <t>Arts</t>
  </si>
  <si>
    <t>Art/Civic</t>
  </si>
  <si>
    <t>Civics</t>
  </si>
  <si>
    <t>Religion/Art</t>
  </si>
  <si>
    <t>Religion</t>
  </si>
  <si>
    <t>Advances</t>
  </si>
  <si>
    <t>Face Value</t>
  </si>
  <si>
    <t>After Credits</t>
  </si>
  <si>
    <t>Own</t>
  </si>
  <si>
    <t>Hides</t>
  </si>
  <si>
    <t>Ochre</t>
  </si>
  <si>
    <t>Iron</t>
  </si>
  <si>
    <t>Papyrus</t>
  </si>
  <si>
    <t>Salt</t>
  </si>
  <si>
    <t>Timber</t>
  </si>
  <si>
    <t>Grain</t>
  </si>
  <si>
    <t>Oil</t>
  </si>
  <si>
    <t>Cloth</t>
  </si>
  <si>
    <t>Wine</t>
  </si>
  <si>
    <t>Silver</t>
  </si>
  <si>
    <t>Bronze</t>
  </si>
  <si>
    <t>Spice</t>
  </si>
  <si>
    <t>Resin</t>
  </si>
  <si>
    <t># Owned</t>
  </si>
  <si>
    <t>Credits</t>
  </si>
  <si>
    <t>Gems</t>
  </si>
  <si>
    <t>Dye</t>
  </si>
  <si>
    <t>Gold</t>
  </si>
  <si>
    <t>Ivory</t>
  </si>
  <si>
    <t>Level</t>
  </si>
  <si>
    <t>Commodity</t>
  </si>
  <si>
    <t>Treasury</t>
  </si>
  <si>
    <t>TOTAL</t>
  </si>
  <si>
    <t>Want to Buy</t>
  </si>
  <si>
    <t>WTB Value</t>
  </si>
  <si>
    <t>Working Total</t>
  </si>
  <si>
    <t>Treasury spent</t>
  </si>
  <si>
    <t>Treasury left over</t>
  </si>
  <si>
    <t>Total Cities</t>
  </si>
  <si>
    <t>AST points</t>
  </si>
  <si>
    <t>VICTORY POINTS</t>
  </si>
  <si>
    <t>Victory Point Totals</t>
  </si>
  <si>
    <t>Total Card Value</t>
  </si>
  <si>
    <t>Trade Cards + Treasury</t>
  </si>
  <si>
    <t>Craft/Religion</t>
  </si>
  <si>
    <t>Civic/Religion</t>
  </si>
  <si>
    <t>Art/Craft</t>
  </si>
  <si>
    <t>Science/Civic</t>
  </si>
  <si>
    <t>Bone</t>
  </si>
  <si>
    <t>Clay</t>
  </si>
  <si>
    <t>Flax</t>
  </si>
  <si>
    <t>Wax</t>
  </si>
  <si>
    <t>Stone</t>
  </si>
  <si>
    <t>Furs</t>
  </si>
  <si>
    <t>Ceramics</t>
  </si>
  <si>
    <t>Fish</t>
  </si>
  <si>
    <t>Fruit</t>
  </si>
  <si>
    <t>Cotton</t>
  </si>
  <si>
    <t>Sugar</t>
  </si>
  <si>
    <t>Wool</t>
  </si>
  <si>
    <t>Glass</t>
  </si>
  <si>
    <t>Livestock</t>
  </si>
  <si>
    <t>Lacquer</t>
  </si>
  <si>
    <t>Lead</t>
  </si>
  <si>
    <t>Tin</t>
  </si>
  <si>
    <t>Copper</t>
  </si>
  <si>
    <t>Herbs</t>
  </si>
  <si>
    <t>Jade</t>
  </si>
  <si>
    <t>Incense</t>
  </si>
  <si>
    <t>Obsidian</t>
  </si>
  <si>
    <t>Tea</t>
  </si>
  <si>
    <t>Marble</t>
  </si>
  <si>
    <t>Western Commodity</t>
  </si>
  <si>
    <t>Eastern Commodity</t>
  </si>
  <si>
    <t>Amber</t>
  </si>
  <si>
    <t>Silk</t>
  </si>
  <si>
    <t>Pearl</t>
  </si>
  <si>
    <t>Common Commodity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</si>
</sst>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2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 horizontal="left"/>
    </xf>
    <xf numFmtId="0" fontId="0" fillId="8" borderId="1" xfId="0" applyFill="1" applyBorder="1" applyAlignment="1">
      <alignment/>
    </xf>
    <xf numFmtId="0" fontId="2" fillId="9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1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6" fillId="11" borderId="1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1" xfId="0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9" fillId="8" borderId="1" xfId="0" applyFont="1" applyFill="1" applyBorder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5"/>
  <sheetViews>
    <sheetView tabSelected="1" workbookViewId="0" topLeftCell="A28">
      <selection activeCell="K47" sqref="K47"/>
    </sheetView>
  </sheetViews>
  <sheetFormatPr defaultColWidth="9.140625" defaultRowHeight="12.75"/>
  <cols>
    <col min="1" max="1" width="19.421875" style="0" customWidth="1"/>
    <col min="2" max="2" width="4.7109375" style="0" bestFit="1" customWidth="1"/>
    <col min="3" max="3" width="10.28125" style="0" customWidth="1"/>
    <col min="4" max="4" width="12.421875" style="0" hidden="1" customWidth="1"/>
    <col min="5" max="5" width="10.421875" style="0" bestFit="1" customWidth="1"/>
    <col min="6" max="6" width="11.28125" style="0" bestFit="1" customWidth="1"/>
    <col min="7" max="7" width="11.28125" style="0" customWidth="1"/>
    <col min="8" max="8" width="5.140625" style="0" bestFit="1" customWidth="1"/>
    <col min="9" max="9" width="13.28125" style="0" customWidth="1"/>
    <col min="10" max="10" width="8.28125" style="0" bestFit="1" customWidth="1"/>
    <col min="11" max="11" width="7.28125" style="0" customWidth="1"/>
    <col min="12" max="12" width="7.7109375" style="0" customWidth="1"/>
    <col min="13" max="13" width="20.28125" style="0" customWidth="1"/>
  </cols>
  <sheetData>
    <row r="1" spans="1:14" ht="12.75">
      <c r="A1" s="19" t="s">
        <v>9</v>
      </c>
      <c r="B1" s="19" t="s">
        <v>12</v>
      </c>
      <c r="C1" s="19" t="s">
        <v>37</v>
      </c>
      <c r="D1" s="19" t="s">
        <v>38</v>
      </c>
      <c r="E1" s="19" t="s">
        <v>10</v>
      </c>
      <c r="F1" s="19" t="s">
        <v>11</v>
      </c>
      <c r="G1" s="17"/>
      <c r="H1" s="22" t="s">
        <v>33</v>
      </c>
      <c r="I1" s="23" t="s">
        <v>34</v>
      </c>
      <c r="J1" s="23" t="s">
        <v>27</v>
      </c>
      <c r="K1" s="24" t="s">
        <v>28</v>
      </c>
      <c r="M1" s="40" t="s">
        <v>45</v>
      </c>
      <c r="N1" s="37"/>
    </row>
    <row r="2" spans="1:14" ht="12.75">
      <c r="A2" s="53" t="s">
        <v>0</v>
      </c>
      <c r="B2" s="54"/>
      <c r="C2" s="54"/>
      <c r="D2" s="54"/>
      <c r="E2" s="54"/>
      <c r="F2" s="55"/>
      <c r="G2" s="15"/>
      <c r="H2" s="25">
        <v>1</v>
      </c>
      <c r="I2" s="48" t="s">
        <v>52</v>
      </c>
      <c r="J2" s="26">
        <v>0</v>
      </c>
      <c r="K2" s="27">
        <f>J2*J2*H2</f>
        <v>0</v>
      </c>
      <c r="M2" s="37" t="s">
        <v>46</v>
      </c>
      <c r="N2" s="41">
        <f>SUM(B3*E3+B4*E4+B5*E5+B6*E6+B7*E7+B8*E8+B9*E9+B10*E10+B11*E11+B12*E12+B13*E13+B14*E14+B15*E15+B16*E16+B17*E17+B18*E18+B19*E19+B20*E20+B21*E21+B22*E22+B23*E23+B24*E24+B25*E25+B26*E26+B27*E27+B28*E28+B29*E29+B30*E30+B31*E31+B32*E32+B33*E33+B34*E34+B35*E35+E36*B36+B37*E37+B38*E38+B39*E39+B40*E40+B41*B42+B43*E43+B44*E44+B45*E45+B46*E46+B47*E47+B48*E48+B49*E49+B50*E50+B51*E51+B52*E52+B53*E53+B54*E54+B55*E55+B56*E56+B57*E57+B58*E58+B59*E59+B60*E60+B61*E61+B62*E62)</f>
        <v>0</v>
      </c>
    </row>
    <row r="3" spans="1:14" ht="12.75">
      <c r="A3" s="1" t="str">
        <f>IF(F3&lt;=K49,IF(K49="N/A","Pottery","Pottery *"),"Pottery")</f>
        <v>Pottery</v>
      </c>
      <c r="B3" s="2">
        <v>0</v>
      </c>
      <c r="C3" s="35">
        <v>0</v>
      </c>
      <c r="D3" s="2">
        <f>IF(C3=1,F3,0)</f>
        <v>0</v>
      </c>
      <c r="E3" s="20">
        <v>60</v>
      </c>
      <c r="F3" s="21">
        <f>IF(B3=1,"N/A",E3-((SUM(B4:B9)+B13+B10+B11+B72)*10+(B45+B64+B68+B15+B23+B46+B20)*5))</f>
        <v>60</v>
      </c>
      <c r="G3" s="15"/>
      <c r="H3" s="43">
        <v>1</v>
      </c>
      <c r="I3" s="47" t="s">
        <v>13</v>
      </c>
      <c r="J3" s="2">
        <v>0</v>
      </c>
      <c r="K3" s="29">
        <f>J3*J3*H3</f>
        <v>0</v>
      </c>
      <c r="M3" s="37" t="s">
        <v>42</v>
      </c>
      <c r="N3" s="41">
        <v>0</v>
      </c>
    </row>
    <row r="4" spans="1:14" ht="12.75">
      <c r="A4" s="1" t="str">
        <f>IF(F4&lt;=K49,IF(K49="N/A","Cloth Making","Cloth Making *"),"Clothmaking")</f>
        <v>Cloth Making</v>
      </c>
      <c r="B4" s="2">
        <v>0</v>
      </c>
      <c r="C4" s="35">
        <v>0</v>
      </c>
      <c r="D4" s="2">
        <f aca="true" t="shared" si="0" ref="D4:D13">IF(C4=1,F4,0)</f>
        <v>0</v>
      </c>
      <c r="E4" s="20">
        <v>60</v>
      </c>
      <c r="F4" s="21">
        <f>IF(B4=1,"N/A",E4-((SUM(B6:B9)+B3+B13+B10+B11+B72+B5)*10+(B45+B64+B68+B15+B23+B46+B20)*5))</f>
        <v>60</v>
      </c>
      <c r="G4" s="15"/>
      <c r="H4" s="43">
        <v>1</v>
      </c>
      <c r="I4" s="47" t="s">
        <v>54</v>
      </c>
      <c r="J4" s="2">
        <v>0</v>
      </c>
      <c r="K4" s="29">
        <f aca="true" t="shared" si="1" ref="K4:K46">J4*J4*H4</f>
        <v>0</v>
      </c>
      <c r="M4" s="37" t="s">
        <v>43</v>
      </c>
      <c r="N4" s="41">
        <v>0</v>
      </c>
    </row>
    <row r="5" spans="1:14" ht="12.75">
      <c r="A5" s="1" t="str">
        <f>IF(F5&lt;=K49,IF(K49="N/A","Masonry","Masonry *"),"Masonry")</f>
        <v>Masonry</v>
      </c>
      <c r="B5" s="2">
        <v>0</v>
      </c>
      <c r="C5" s="35">
        <v>0</v>
      </c>
      <c r="D5" s="2">
        <f>IF(C5=1,F5,0)</f>
        <v>0</v>
      </c>
      <c r="E5" s="20">
        <v>60</v>
      </c>
      <c r="F5" s="21">
        <f>IF(B5=1,"N/A",E5-((SUM(B6:B9)+SUM(B2:B3))+B13+B10+B11+B72)*10+(B44+B64+B68+B15+B23+B46+B20)*5)</f>
        <v>60</v>
      </c>
      <c r="G5" s="15"/>
      <c r="H5" s="43">
        <v>1</v>
      </c>
      <c r="I5" s="45" t="s">
        <v>53</v>
      </c>
      <c r="J5" s="2">
        <v>0</v>
      </c>
      <c r="K5" s="27">
        <f>(J5*J5*H5)+(H5*J5)</f>
        <v>0</v>
      </c>
      <c r="M5" s="37" t="s">
        <v>47</v>
      </c>
      <c r="N5" s="41">
        <f>K48</f>
        <v>0</v>
      </c>
    </row>
    <row r="6" spans="1:14" ht="12.75">
      <c r="A6" s="1" t="str">
        <f>IF(F6&lt;=K49,IF(K49="N/A","Metal Working","Metal Working *"),"Metal Working")</f>
        <v>Metal Working</v>
      </c>
      <c r="B6" s="2">
        <v>0</v>
      </c>
      <c r="C6" s="35">
        <v>0</v>
      </c>
      <c r="D6" s="2">
        <f t="shared" si="0"/>
        <v>0</v>
      </c>
      <c r="E6" s="20">
        <v>90</v>
      </c>
      <c r="F6" s="21">
        <f>IF(B6=1,"N/A",E6-((SUM(B7:B9)+SUM(B3:B5))+B13+B10+B11+B72)*10+(B45+B64+B68+B15+B23+B46+B20)*5)</f>
        <v>90</v>
      </c>
      <c r="G6" s="18"/>
      <c r="H6" s="28">
        <v>1</v>
      </c>
      <c r="I6" s="46" t="s">
        <v>14</v>
      </c>
      <c r="J6" s="10">
        <v>0</v>
      </c>
      <c r="K6" s="29">
        <f t="shared" si="1"/>
        <v>0</v>
      </c>
      <c r="M6" s="37"/>
      <c r="N6" s="37"/>
    </row>
    <row r="7" spans="1:14" ht="12.75">
      <c r="A7" s="1" t="str">
        <f>IF(F7&lt;K49,IF(K49="N/A","Agriculture","Agriculture *"),"Agriculture")</f>
        <v>Agriculture</v>
      </c>
      <c r="B7" s="34">
        <v>0</v>
      </c>
      <c r="C7" s="35">
        <v>0</v>
      </c>
      <c r="D7" s="2">
        <f t="shared" si="0"/>
        <v>0</v>
      </c>
      <c r="E7" s="20">
        <v>120</v>
      </c>
      <c r="F7" s="21">
        <f>IF(B7=1,"N/A",E7-((SUM(B8:B10)+SUM(B3:B6)+B13+B11+B72)*10+(B45+B64+B68+B15+B23+B20)*5))</f>
        <v>120</v>
      </c>
      <c r="G7" s="18"/>
      <c r="H7" s="43">
        <v>2</v>
      </c>
      <c r="I7" s="49" t="s">
        <v>55</v>
      </c>
      <c r="J7" s="34">
        <v>0</v>
      </c>
      <c r="K7" s="29">
        <f t="shared" si="1"/>
        <v>0</v>
      </c>
      <c r="M7" s="37" t="s">
        <v>44</v>
      </c>
      <c r="N7" s="42">
        <f>SUM(N2+(N3*50)+N4+N5)</f>
        <v>0</v>
      </c>
    </row>
    <row r="8" spans="1:11" ht="12.75">
      <c r="A8" s="1" t="str">
        <f>IF(F8&lt;=K49,IF(K49="N/A","Roadbuilding","Roadbuilding *"),"Roadbuilding")</f>
        <v>Roadbuilding</v>
      </c>
      <c r="B8" s="34">
        <v>0</v>
      </c>
      <c r="C8" s="35">
        <v>0</v>
      </c>
      <c r="D8" s="2">
        <f t="shared" si="0"/>
        <v>0</v>
      </c>
      <c r="E8" s="20">
        <v>220</v>
      </c>
      <c r="F8" s="21" t="str">
        <f>IF(B8=1,"N/A",IF(B13=1,E8-((SUM(B9)+SUM(B3:B7)+B13+B10+B11+B72)*10+(B45+B64+B68+B15+B23+B20)*5),"ENG"))</f>
        <v>ENG</v>
      </c>
      <c r="G8" s="18"/>
      <c r="H8" s="43">
        <v>2</v>
      </c>
      <c r="I8" s="47" t="s">
        <v>56</v>
      </c>
      <c r="J8" s="34">
        <f>-J80</f>
        <v>0</v>
      </c>
      <c r="K8" s="29">
        <f>J8*J8*H8</f>
        <v>0</v>
      </c>
    </row>
    <row r="9" spans="1:11" ht="12.75">
      <c r="A9" s="1" t="str">
        <f>IF(F9&lt;=K49,IF(K49="N/A","Mining","Mining *"),"Mining")</f>
        <v>Mining</v>
      </c>
      <c r="B9" s="34">
        <v>0</v>
      </c>
      <c r="C9" s="35">
        <v>0</v>
      </c>
      <c r="D9" s="2">
        <f t="shared" si="0"/>
        <v>0</v>
      </c>
      <c r="E9" s="20">
        <v>230</v>
      </c>
      <c r="F9" s="21" t="str">
        <f>IF(B9=1,"N/A",IF(B13=1,E9-((SUM(B3:B8)+B13+B10+B11+B72)*10+(B42+B45+B64+B68+B15+B23+B20)*5),"ENG"))</f>
        <v>ENG</v>
      </c>
      <c r="G9" s="18"/>
      <c r="H9" s="43">
        <v>2</v>
      </c>
      <c r="I9" s="47" t="s">
        <v>57</v>
      </c>
      <c r="J9" s="34">
        <v>0</v>
      </c>
      <c r="K9" s="29">
        <f>J9*J9*H9</f>
        <v>0</v>
      </c>
    </row>
    <row r="10" spans="1:11" ht="12.75">
      <c r="A10" s="1" t="str">
        <f>IF(F10&lt;K49,IF(K49="N/A","Trade Routes","Trade Routes *"),"Trade Routes")</f>
        <v>Trade Routes</v>
      </c>
      <c r="B10" s="34">
        <v>0</v>
      </c>
      <c r="C10" s="35">
        <v>0</v>
      </c>
      <c r="D10" s="2">
        <f>IF(C10=1,F10,0)</f>
        <v>0</v>
      </c>
      <c r="E10" s="20">
        <v>180</v>
      </c>
      <c r="F10" s="21">
        <f>IF(B10=1,"N/A",E10-((SUM(B12:B13)+SUM(B3:B9)+B17+B11+B72)*10+(B53+B64+B68+B15+B23+B20+B45+B42)*5))</f>
        <v>180</v>
      </c>
      <c r="G10" s="18"/>
      <c r="H10" s="25">
        <v>2</v>
      </c>
      <c r="I10" s="44" t="s">
        <v>15</v>
      </c>
      <c r="J10" s="26">
        <v>0</v>
      </c>
      <c r="K10" s="27">
        <f>(J10*J10*H10)+(H10*J10)</f>
        <v>0</v>
      </c>
    </row>
    <row r="11" spans="1:11" ht="12.75">
      <c r="A11" s="1" t="str">
        <f>IF(F11&lt;K49,IF(K49="N/A","Trade Empire","Trade Empire *"),"Trade Empire")</f>
        <v>Trade Empire</v>
      </c>
      <c r="B11" s="34">
        <v>0</v>
      </c>
      <c r="C11" s="35">
        <v>0</v>
      </c>
      <c r="D11" s="2">
        <f>IF(C11=1,F11,0)</f>
        <v>0</v>
      </c>
      <c r="E11" s="20">
        <v>270</v>
      </c>
      <c r="F11" s="21">
        <f>IF(B11=1,"N/A",E11-((SUM(B13:B14)+SUM(B3:B10)+B19)*10+(B64+B68+B15+B23+B20+B42+B45)*5))</f>
        <v>270</v>
      </c>
      <c r="G11" s="18"/>
      <c r="H11" s="28">
        <v>2</v>
      </c>
      <c r="I11" s="46" t="s">
        <v>16</v>
      </c>
      <c r="J11" s="10">
        <v>0</v>
      </c>
      <c r="K11" s="27">
        <f>(J11*J11*H11)+(H11*J11)</f>
        <v>0</v>
      </c>
    </row>
    <row r="12" spans="1:11" ht="12.75">
      <c r="A12" s="56" t="s">
        <v>1</v>
      </c>
      <c r="B12" s="57"/>
      <c r="C12" s="57"/>
      <c r="D12" s="57"/>
      <c r="E12" s="57"/>
      <c r="F12" s="58"/>
      <c r="G12" s="18"/>
      <c r="H12" s="43">
        <v>3</v>
      </c>
      <c r="I12" s="49" t="s">
        <v>58</v>
      </c>
      <c r="J12" s="34">
        <v>0</v>
      </c>
      <c r="K12" s="29">
        <f>J12*J12*H12</f>
        <v>0</v>
      </c>
    </row>
    <row r="13" spans="1:11" ht="12.75">
      <c r="A13" s="3" t="str">
        <f>IF(F13&lt;=K49,IF(K49="N/A","Engineering","Engineering *"),"Engineering")</f>
        <v>Engineering</v>
      </c>
      <c r="B13" s="34">
        <v>0</v>
      </c>
      <c r="C13" s="35">
        <v>0</v>
      </c>
      <c r="D13" s="2">
        <f t="shared" si="0"/>
        <v>0</v>
      </c>
      <c r="E13" s="20">
        <v>160</v>
      </c>
      <c r="F13" s="21">
        <f>IF(B13=1,"N/A",E13-(SUM(B3:B11)*10)-((SUM(B16:B18)+B25)*20)-(B45+B42)*5-B5*10)</f>
        <v>160</v>
      </c>
      <c r="G13" s="18"/>
      <c r="H13" s="43">
        <v>3</v>
      </c>
      <c r="I13" s="47" t="s">
        <v>17</v>
      </c>
      <c r="J13" s="34">
        <v>0</v>
      </c>
      <c r="K13" s="29">
        <f t="shared" si="1"/>
        <v>0</v>
      </c>
    </row>
    <row r="14" spans="1:11" ht="12.75">
      <c r="A14" s="56" t="s">
        <v>2</v>
      </c>
      <c r="B14" s="57"/>
      <c r="C14" s="57"/>
      <c r="D14" s="57"/>
      <c r="E14" s="57"/>
      <c r="F14" s="58"/>
      <c r="G14" s="18"/>
      <c r="H14" s="43">
        <v>3</v>
      </c>
      <c r="I14" s="47" t="s">
        <v>18</v>
      </c>
      <c r="J14" s="34">
        <v>0</v>
      </c>
      <c r="K14" s="29">
        <f t="shared" si="1"/>
        <v>0</v>
      </c>
    </row>
    <row r="15" spans="1:11" ht="12.75">
      <c r="A15" s="4" t="str">
        <f>IF(F15&lt;=K49,IF(K49="N/A","Empiricism","Empiricism *"),"Empiricism")</f>
        <v>Empiricism</v>
      </c>
      <c r="B15" s="34">
        <v>0</v>
      </c>
      <c r="C15" s="35">
        <v>0</v>
      </c>
      <c r="D15" s="2">
        <f aca="true" t="shared" si="2" ref="D15:D23">IF(C15=1,F15,0)</f>
        <v>0</v>
      </c>
      <c r="E15" s="11">
        <v>60</v>
      </c>
      <c r="F15" s="13">
        <f>IF(B15=1,"N/A",E15-(B18+B16+B17)*20-(B19+B21+B22+B20+B23+B70)*10-(B5+B39+B48)*5)</f>
        <v>60</v>
      </c>
      <c r="G15" s="15"/>
      <c r="H15" s="25">
        <v>3</v>
      </c>
      <c r="I15" s="44" t="s">
        <v>59</v>
      </c>
      <c r="J15" s="26">
        <v>0</v>
      </c>
      <c r="K15" s="27">
        <f>(J15*J15*H15)+(H15*J15)</f>
        <v>0</v>
      </c>
    </row>
    <row r="16" spans="1:11" ht="12.75">
      <c r="A16" s="4" t="str">
        <f>IF(F16&lt;=K49,IF(K49="N/A","Astronomy","Astronomy *"),"Astronomy")</f>
        <v>Astronomy</v>
      </c>
      <c r="B16" s="34">
        <v>0</v>
      </c>
      <c r="C16" s="35">
        <v>0</v>
      </c>
      <c r="D16" s="2">
        <f t="shared" si="2"/>
        <v>0</v>
      </c>
      <c r="E16" s="11">
        <v>80</v>
      </c>
      <c r="F16" s="13">
        <f>IF(B16=1,"N/A",E16-(B13+B17+B18+B25)*20-(B20+B22+B19+B15+B23+B20+B21+B70)*10-(B5+B39+B48)*5)</f>
        <v>80</v>
      </c>
      <c r="G16" s="18"/>
      <c r="H16" s="28">
        <v>3</v>
      </c>
      <c r="I16" s="46" t="s">
        <v>60</v>
      </c>
      <c r="J16" s="10">
        <v>0</v>
      </c>
      <c r="K16" s="27">
        <f>(J16*J16*H16)+(H16*J16)</f>
        <v>0</v>
      </c>
    </row>
    <row r="17" spans="1:11" ht="12.75">
      <c r="A17" s="4" t="str">
        <f>IF(F17&lt;=K49,IF(K49="N/A","Coinage","Coinage *"),"Coinage")</f>
        <v>Coinage</v>
      </c>
      <c r="B17" s="34">
        <v>0</v>
      </c>
      <c r="C17" s="35">
        <v>0</v>
      </c>
      <c r="D17" s="2">
        <f t="shared" si="2"/>
        <v>0</v>
      </c>
      <c r="E17" s="11">
        <v>90</v>
      </c>
      <c r="F17" s="13">
        <f>IF(B17=1,"N/A",E17-(B18+B16+B25)*20-(B20+B22+B19+B15+B23+B20+B70+B21+B70)*10-(B5+B39+B48)*5)</f>
        <v>90</v>
      </c>
      <c r="G17" s="15"/>
      <c r="H17" s="43">
        <v>4</v>
      </c>
      <c r="I17" s="49" t="s">
        <v>19</v>
      </c>
      <c r="J17" s="34">
        <v>0</v>
      </c>
      <c r="K17" s="29">
        <f t="shared" si="1"/>
        <v>0</v>
      </c>
    </row>
    <row r="18" spans="1:13" ht="12.75">
      <c r="A18" s="4" t="str">
        <f>IF(F18&lt;K49,IF(K49="N/A","Medicine","Medicine *"),"Medicine")</f>
        <v>Medicine</v>
      </c>
      <c r="B18" s="34">
        <v>0</v>
      </c>
      <c r="C18" s="35">
        <v>0</v>
      </c>
      <c r="D18" s="2">
        <f t="shared" si="2"/>
        <v>0</v>
      </c>
      <c r="E18" s="11">
        <v>140</v>
      </c>
      <c r="F18" s="13">
        <f>IF(B18=1,"N/A",E18-(B25+B17+B16+B15)*20-(B20+B22+B19+B23+B70)*10-(B5+B39+B48)*5)</f>
        <v>140</v>
      </c>
      <c r="G18" s="18"/>
      <c r="H18" s="43">
        <v>4</v>
      </c>
      <c r="I18" s="47" t="s">
        <v>61</v>
      </c>
      <c r="J18" s="34">
        <v>0</v>
      </c>
      <c r="K18" s="29">
        <f t="shared" si="1"/>
        <v>0</v>
      </c>
      <c r="L18" s="50"/>
      <c r="M18" t="s">
        <v>76</v>
      </c>
    </row>
    <row r="19" spans="1:13" ht="12.75">
      <c r="A19" s="4" t="str">
        <f>IF(F19&lt;K49,IF(K49="N/A","Cartography","Cartography *"),"Cartography")</f>
        <v>Cartography</v>
      </c>
      <c r="B19" s="34">
        <v>0</v>
      </c>
      <c r="C19" s="35">
        <v>0</v>
      </c>
      <c r="D19" s="2">
        <f t="shared" si="2"/>
        <v>0</v>
      </c>
      <c r="E19" s="11">
        <v>160</v>
      </c>
      <c r="F19" s="13">
        <f>IF(B19=1,"N/A",E19-(B25+B17+B16+B18)*20-(B20+B15+B23+B20+B70)*10-(B5+B39+B48)*5)</f>
        <v>160</v>
      </c>
      <c r="G19" s="18"/>
      <c r="H19" s="43">
        <v>4</v>
      </c>
      <c r="I19" s="47" t="s">
        <v>62</v>
      </c>
      <c r="J19" s="34">
        <v>0</v>
      </c>
      <c r="K19" s="29">
        <f t="shared" si="1"/>
        <v>0</v>
      </c>
      <c r="L19" s="51"/>
      <c r="M19" t="s">
        <v>77</v>
      </c>
    </row>
    <row r="20" spans="1:13" ht="12.75">
      <c r="A20" s="4" t="str">
        <f>IF(F20&lt;K49,IF(K49="N/A","Weights &amp; Measures","Weights &amp; Measures *"),"Weights &amp; Measures")</f>
        <v>Weights &amp; Measures</v>
      </c>
      <c r="B20" s="34">
        <v>0</v>
      </c>
      <c r="C20" s="35">
        <v>0</v>
      </c>
      <c r="D20" s="2">
        <f t="shared" si="2"/>
        <v>0</v>
      </c>
      <c r="E20" s="11">
        <v>180</v>
      </c>
      <c r="F20" s="13">
        <f>IF(B20=1,"N/A",E20-(B25+B18+B17)*20-(B22+B19+B15+B23+B70)*10-(B5+B39+B48)*5)</f>
        <v>180</v>
      </c>
      <c r="G20" s="18"/>
      <c r="H20" s="25">
        <v>4</v>
      </c>
      <c r="I20" s="44" t="s">
        <v>63</v>
      </c>
      <c r="J20" s="26">
        <v>0</v>
      </c>
      <c r="K20" s="27">
        <f>(J20*J20*H20)+(H20*J20)</f>
        <v>0</v>
      </c>
      <c r="L20" s="52"/>
      <c r="M20" t="s">
        <v>81</v>
      </c>
    </row>
    <row r="21" spans="1:11" ht="12.75">
      <c r="A21" s="4" t="str">
        <f>IF(F21&lt;K50,IF(K50="N/A","Calendar","Calendar *"),"Calendar")</f>
        <v>Calendar</v>
      </c>
      <c r="B21" s="34">
        <v>0</v>
      </c>
      <c r="C21" s="35">
        <v>0</v>
      </c>
      <c r="D21" s="2">
        <f t="shared" si="2"/>
        <v>0</v>
      </c>
      <c r="E21" s="11">
        <v>180</v>
      </c>
      <c r="F21" s="13">
        <f>IF(B21=1,"N/A",E21-(B25+B17+B18+B19)*20-(B22+B19+B15+B23+B70)*10-(B6+B40+B49)*5)</f>
        <v>180</v>
      </c>
      <c r="G21" s="18"/>
      <c r="H21" s="28">
        <v>4</v>
      </c>
      <c r="I21" s="46" t="s">
        <v>20</v>
      </c>
      <c r="J21" s="10">
        <v>0</v>
      </c>
      <c r="K21" s="27">
        <f>(J21*J21*H21)+(H21*J21)</f>
        <v>0</v>
      </c>
    </row>
    <row r="22" spans="1:11" ht="12.75">
      <c r="A22" s="4" t="str">
        <f>IF(F22&lt;K49,IF(K49="N/A","Library","Library *"),"Library")</f>
        <v>Library</v>
      </c>
      <c r="B22" s="34">
        <v>0</v>
      </c>
      <c r="C22" s="35">
        <v>0</v>
      </c>
      <c r="D22" s="2">
        <f t="shared" si="2"/>
        <v>0</v>
      </c>
      <c r="E22" s="11">
        <v>220</v>
      </c>
      <c r="F22" s="13">
        <f>IF(B22=1,"N/A",E22-(B28+B20+B18+B25)*20-(B5+B39+B48)*5-(B20+B15+B23+B70)*10-B19*20)</f>
        <v>220</v>
      </c>
      <c r="G22" s="18"/>
      <c r="H22" s="43">
        <v>5</v>
      </c>
      <c r="I22" s="49" t="s">
        <v>64</v>
      </c>
      <c r="J22" s="34">
        <v>0</v>
      </c>
      <c r="K22" s="29">
        <f t="shared" si="1"/>
        <v>0</v>
      </c>
    </row>
    <row r="23" spans="1:11" ht="12.75">
      <c r="A23" s="4" t="str">
        <f>IF(F23&lt;K49,IF(K49="N/A","Anatomy","Anatomy *"),"Anatomy")</f>
        <v>Anatomy</v>
      </c>
      <c r="B23" s="34">
        <v>0</v>
      </c>
      <c r="C23" s="35">
        <v>0</v>
      </c>
      <c r="D23" s="2">
        <f t="shared" si="2"/>
        <v>0</v>
      </c>
      <c r="E23" s="11">
        <v>270</v>
      </c>
      <c r="F23" s="13">
        <f>IF(B23=1,"N/A",E23-(B25+B20+B17)*20-(B5+B39+B48)*5-(B20+B15)*10)</f>
        <v>270</v>
      </c>
      <c r="G23" s="18"/>
      <c r="H23" s="43">
        <v>5</v>
      </c>
      <c r="I23" s="47" t="s">
        <v>65</v>
      </c>
      <c r="J23" s="34">
        <v>0</v>
      </c>
      <c r="K23" s="29">
        <f t="shared" si="1"/>
        <v>0</v>
      </c>
    </row>
    <row r="24" spans="1:11" ht="12.75">
      <c r="A24" s="56" t="s">
        <v>3</v>
      </c>
      <c r="B24" s="57"/>
      <c r="C24" s="57"/>
      <c r="D24" s="57"/>
      <c r="E24" s="57"/>
      <c r="F24" s="58"/>
      <c r="G24" s="18"/>
      <c r="H24" s="43">
        <v>5</v>
      </c>
      <c r="I24" s="47" t="s">
        <v>66</v>
      </c>
      <c r="J24" s="34">
        <v>0</v>
      </c>
      <c r="K24" s="29">
        <f t="shared" si="1"/>
        <v>0</v>
      </c>
    </row>
    <row r="25" spans="1:11" ht="12.75">
      <c r="A25" s="5" t="str">
        <f>IF(F25&lt;=K49,IF(K49="N/A","Mathematics","Mathematics *"),"Mathematics")</f>
        <v>Mathematics</v>
      </c>
      <c r="B25" s="34">
        <v>0</v>
      </c>
      <c r="C25" s="35">
        <v>0</v>
      </c>
      <c r="D25" s="2">
        <f>IF(C25=1,F25,0)</f>
        <v>0</v>
      </c>
      <c r="E25" s="11">
        <v>240</v>
      </c>
      <c r="F25" s="13">
        <f>IF(B25=1,"N/A",E25-(B13+B16+B17+B18)*20-(B52+B15+B35+B33+B48+B27+B28+B29+B30+B31+B32+B34)*5-((B19+B20+B21+B22+B23+B68)*10))</f>
        <v>240</v>
      </c>
      <c r="G25" s="18"/>
      <c r="H25" s="25">
        <v>5</v>
      </c>
      <c r="I25" s="44" t="s">
        <v>21</v>
      </c>
      <c r="J25" s="26">
        <v>0</v>
      </c>
      <c r="K25" s="27">
        <f>(J25*J25*H25)+(H25*J25)</f>
        <v>0</v>
      </c>
    </row>
    <row r="26" spans="1:11" ht="12.75">
      <c r="A26" s="56" t="s">
        <v>4</v>
      </c>
      <c r="B26" s="57"/>
      <c r="C26" s="57"/>
      <c r="D26" s="57"/>
      <c r="E26" s="57"/>
      <c r="F26" s="58"/>
      <c r="G26" s="18"/>
      <c r="H26" s="28">
        <v>5</v>
      </c>
      <c r="I26" s="46" t="s">
        <v>22</v>
      </c>
      <c r="J26" s="10">
        <v>0</v>
      </c>
      <c r="K26" s="27">
        <f>(J26*J26*H26)+(H26*J26)</f>
        <v>0</v>
      </c>
    </row>
    <row r="27" spans="1:11" ht="12.75">
      <c r="A27" s="6" t="str">
        <f>IF(F27&lt;=K49,IF(K49="N/A","Sculpture","Sculpture *"),"Sculpture")</f>
        <v>Sculpture</v>
      </c>
      <c r="B27" s="34">
        <v>0</v>
      </c>
      <c r="C27" s="35">
        <v>0</v>
      </c>
      <c r="D27" s="2">
        <f aca="true" t="shared" si="3" ref="D27:D35">IF(C27=1,F27,0)</f>
        <v>0</v>
      </c>
      <c r="E27" s="11">
        <v>50</v>
      </c>
      <c r="F27" s="13">
        <f>IF(B27=1,"N/A",E27-((B28+B29+B23+B36+B51+B57+B20+B54+B15+B47+B46+B56+B30)*5+(B32+B33+B35+B25+B31+B34)*10))</f>
        <v>50</v>
      </c>
      <c r="G27" s="16"/>
      <c r="H27" s="43">
        <v>6</v>
      </c>
      <c r="I27" s="49" t="s">
        <v>67</v>
      </c>
      <c r="J27" s="34">
        <v>0</v>
      </c>
      <c r="K27" s="29">
        <f t="shared" si="1"/>
        <v>0</v>
      </c>
    </row>
    <row r="28" spans="1:11" ht="12.75">
      <c r="A28" s="6" t="str">
        <f>IF(F28&lt;=K49,IF(K49="N/A","Drama &amp; Poetry","Drama &amp; Poetry *"),"Drama &amp; Poetry")</f>
        <v>Drama &amp; Poetry</v>
      </c>
      <c r="B28" s="34">
        <v>0</v>
      </c>
      <c r="C28" s="35">
        <v>0</v>
      </c>
      <c r="D28" s="2">
        <f t="shared" si="3"/>
        <v>0</v>
      </c>
      <c r="E28" s="11">
        <v>80</v>
      </c>
      <c r="F28" s="13">
        <f>IF(B28=1,"N/A",E28-((B29+B30+B25+B37+B52+B58+B22+B54+B15+B46+B47+B56)*5+(B32+B27+B33+B35+B31+B34)*10))</f>
        <v>80</v>
      </c>
      <c r="G28" s="18"/>
      <c r="H28" s="43">
        <v>6</v>
      </c>
      <c r="I28" s="47" t="s">
        <v>23</v>
      </c>
      <c r="J28" s="34">
        <v>0</v>
      </c>
      <c r="K28" s="29">
        <f t="shared" si="1"/>
        <v>0</v>
      </c>
    </row>
    <row r="29" spans="1:11" ht="12.75">
      <c r="A29" s="6" t="str">
        <f>IF(F29&lt;=K49,IF(K49="N/A","Music","Music *"),"Music")</f>
        <v>Music</v>
      </c>
      <c r="B29" s="34">
        <v>0</v>
      </c>
      <c r="C29" s="35">
        <v>0</v>
      </c>
      <c r="D29" s="2">
        <f t="shared" si="3"/>
        <v>0</v>
      </c>
      <c r="E29" s="11">
        <v>80</v>
      </c>
      <c r="F29" s="13">
        <f>IF(B29=1,"N/A",E29-(B25+B28+B30+B37+B52+B58+B22+B54+B15+B46+B47+B56)*5-(B32+B27+B33+B35+B31+B34)*10)</f>
        <v>80</v>
      </c>
      <c r="G29" s="15"/>
      <c r="H29" s="43">
        <v>6</v>
      </c>
      <c r="I29" s="47" t="s">
        <v>24</v>
      </c>
      <c r="J29" s="34">
        <v>0</v>
      </c>
      <c r="K29" s="29">
        <f t="shared" si="1"/>
        <v>0</v>
      </c>
    </row>
    <row r="30" spans="1:11" ht="12.75">
      <c r="A30" s="6" t="str">
        <f>IF(F30&lt;=K49,IF(K49="N/A","Architecture","Architecture *"),"Architecture")</f>
        <v>Architecture</v>
      </c>
      <c r="B30" s="34">
        <v>0</v>
      </c>
      <c r="C30" s="35">
        <v>0</v>
      </c>
      <c r="D30" s="2">
        <f t="shared" si="3"/>
        <v>0</v>
      </c>
      <c r="E30" s="11">
        <v>140</v>
      </c>
      <c r="F30" s="13">
        <f>IF(B30=1,"N/A",E30-(B25+B28+B29+B37+B52+B58+B22+B54+B15+B46+B47+B56)*5-(B32+B27+B33+B35+B34)*10-B27*10)</f>
        <v>140</v>
      </c>
      <c r="G30" s="18"/>
      <c r="H30" s="25">
        <v>6</v>
      </c>
      <c r="I30" s="44" t="s">
        <v>68</v>
      </c>
      <c r="J30" s="26">
        <v>0</v>
      </c>
      <c r="K30" s="27">
        <f>(J30*J30*H30)+(H30*J30)</f>
        <v>0</v>
      </c>
    </row>
    <row r="31" spans="1:11" ht="12.75">
      <c r="A31" s="6" t="str">
        <f>IF(F31&lt;=K49,IF(K49="N/A","Diplomacy","Diplomacy *"),"Diplomacy")</f>
        <v>Diplomacy</v>
      </c>
      <c r="B31" s="34">
        <v>0</v>
      </c>
      <c r="C31" s="35">
        <v>0</v>
      </c>
      <c r="D31" s="2">
        <f t="shared" si="3"/>
        <v>0</v>
      </c>
      <c r="E31" s="11">
        <v>120</v>
      </c>
      <c r="F31" s="13">
        <f>IF(B31=1,"N/A",E31-(B25+B28+B29+B37+B52+B58+B54+B15+B46+B47+B56+B68)*5-(B32+B27+B33+B35+B39+B30+B34)*10)</f>
        <v>120</v>
      </c>
      <c r="G31" s="18"/>
      <c r="H31" s="28">
        <v>6</v>
      </c>
      <c r="I31" s="46" t="s">
        <v>69</v>
      </c>
      <c r="J31" s="10">
        <v>0</v>
      </c>
      <c r="K31" s="27">
        <f>(J31*J31*H31)+(H31*J31)</f>
        <v>0</v>
      </c>
    </row>
    <row r="32" spans="1:11" ht="12.75">
      <c r="A32" s="6" t="str">
        <f>IF(F32&lt;=K49,IF(K49="N/A","Rhetoric","Rhetoric *"),"Rhetoric")</f>
        <v>Rhetoric</v>
      </c>
      <c r="B32" s="34">
        <v>0</v>
      </c>
      <c r="C32" s="35">
        <v>0</v>
      </c>
      <c r="D32" s="2">
        <f t="shared" si="3"/>
        <v>0</v>
      </c>
      <c r="E32" s="11">
        <v>130</v>
      </c>
      <c r="F32" s="13">
        <f>IF(B32=1,"N/A",E32-(B28+B30+B31+B41+B55+B61+B54+B15+B47+B56)*5-(B52+B27+B35+B33)*10)</f>
        <v>130</v>
      </c>
      <c r="G32" s="18"/>
      <c r="H32" s="43">
        <v>7</v>
      </c>
      <c r="I32" s="49" t="s">
        <v>70</v>
      </c>
      <c r="J32" s="34">
        <v>0</v>
      </c>
      <c r="K32" s="29">
        <f t="shared" si="1"/>
        <v>0</v>
      </c>
    </row>
    <row r="33" spans="1:11" ht="12.75">
      <c r="A33" s="6" t="str">
        <f>IF(F33&lt;=K49,IF(K49="N/A","Politics","Politics *"),"Politics")</f>
        <v>Politics</v>
      </c>
      <c r="B33" s="34">
        <v>0</v>
      </c>
      <c r="C33" s="35">
        <v>0</v>
      </c>
      <c r="D33" s="2">
        <f t="shared" si="3"/>
        <v>0</v>
      </c>
      <c r="E33" s="11">
        <v>220</v>
      </c>
      <c r="F33" s="13">
        <f>IF(B33=1,"N/A",E33-(B28+B30+B31+B41+B55+B61+B54+B15+B47+B56)*5-(B52+B27+B35+B32+B35)*10)</f>
        <v>220</v>
      </c>
      <c r="G33" s="18"/>
      <c r="H33" s="43">
        <v>7</v>
      </c>
      <c r="I33" s="47" t="s">
        <v>25</v>
      </c>
      <c r="J33" s="34">
        <v>0</v>
      </c>
      <c r="K33" s="29">
        <f t="shared" si="1"/>
        <v>0</v>
      </c>
    </row>
    <row r="34" spans="1:11" ht="12.75">
      <c r="A34" s="6" t="str">
        <f>IF(F34&lt;=K49,IF(K49="N/A","Golden Age","Golden Age *"),"Golden Age")</f>
        <v>Golden Age</v>
      </c>
      <c r="B34" s="34">
        <v>0</v>
      </c>
      <c r="C34" s="35">
        <v>0</v>
      </c>
      <c r="D34" s="2">
        <f t="shared" si="3"/>
        <v>0</v>
      </c>
      <c r="E34" s="11">
        <v>270</v>
      </c>
      <c r="F34" s="13">
        <f>IF(B34=1,"N/A",E34-(B27+B28+B29+B39+B53+B59+B52+B14+B46+B30+B31+B33+B35+B56+B68)*5-(B52+B25+B32)*10)</f>
        <v>270</v>
      </c>
      <c r="G34" s="18"/>
      <c r="H34" s="43">
        <v>7</v>
      </c>
      <c r="I34" s="47" t="s">
        <v>71</v>
      </c>
      <c r="J34" s="34">
        <v>0</v>
      </c>
      <c r="K34" s="29">
        <f t="shared" si="1"/>
        <v>0</v>
      </c>
    </row>
    <row r="35" spans="1:11" ht="12.75">
      <c r="A35" s="6" t="str">
        <f>IF(F35&lt;=K49,IF(K49="N/A","Cultural Ascendancy","Cultural Ascendancy *"),"Cultural Ascendancy")</f>
        <v>Cultural Ascendancy</v>
      </c>
      <c r="B35" s="34">
        <v>0</v>
      </c>
      <c r="C35" s="35">
        <v>0</v>
      </c>
      <c r="D35" s="2">
        <f t="shared" si="3"/>
        <v>0</v>
      </c>
      <c r="E35" s="11">
        <v>280</v>
      </c>
      <c r="F35" s="13">
        <f>IF(B35=1,"N/A",E35-(B27+B29+B30+B40+B54+B60+B53+B15+B46+B47+B56+B28)*5-(B52+B27+B34+B31+B32+B33)*10)</f>
        <v>280</v>
      </c>
      <c r="G35" s="18"/>
      <c r="H35" s="25">
        <v>7</v>
      </c>
      <c r="I35" s="44" t="s">
        <v>72</v>
      </c>
      <c r="J35" s="26">
        <v>0</v>
      </c>
      <c r="K35" s="27">
        <f>(J35*J35*H35)+(H35*J35)</f>
        <v>0</v>
      </c>
    </row>
    <row r="36" spans="1:11" ht="12.75">
      <c r="A36" s="56" t="s">
        <v>5</v>
      </c>
      <c r="B36" s="57"/>
      <c r="C36" s="57"/>
      <c r="D36" s="57"/>
      <c r="E36" s="57"/>
      <c r="F36" s="58"/>
      <c r="G36" s="18"/>
      <c r="H36" s="28">
        <v>7</v>
      </c>
      <c r="I36" s="46" t="s">
        <v>26</v>
      </c>
      <c r="J36" s="10">
        <v>0</v>
      </c>
      <c r="K36" s="27">
        <f>(J36*J36*H36)+(H36*J36)</f>
        <v>0</v>
      </c>
    </row>
    <row r="37" spans="1:11" ht="12.75">
      <c r="A37" s="7" t="str">
        <f>IF(F37&lt;=K49,IF(K49="N/A","Literacy","Literacy *"),"Literacy")</f>
        <v>Literacy</v>
      </c>
      <c r="B37" s="34">
        <v>0</v>
      </c>
      <c r="C37" s="35">
        <v>0</v>
      </c>
      <c r="D37" s="2">
        <f>IF(C37=1,F37,0)</f>
        <v>0</v>
      </c>
      <c r="E37" s="11">
        <v>110</v>
      </c>
      <c r="F37" s="13">
        <f>IF(B37=1,"N/A",E37-(B25+B29+B30+B52+B66)*5-B28*15-((B54+B27+B31+B32+B33+B34+B35+B39+B40+B46+B47+B49+B50)*10))</f>
        <v>110</v>
      </c>
      <c r="G37" s="18"/>
      <c r="H37" s="43">
        <v>8</v>
      </c>
      <c r="I37" s="49" t="s">
        <v>73</v>
      </c>
      <c r="J37" s="34">
        <v>0</v>
      </c>
      <c r="K37" s="29">
        <f t="shared" si="1"/>
        <v>0</v>
      </c>
    </row>
    <row r="38" spans="1:11" ht="12.75">
      <c r="A38" s="59" t="s">
        <v>6</v>
      </c>
      <c r="B38" s="60"/>
      <c r="C38" s="60"/>
      <c r="D38" s="60"/>
      <c r="E38" s="60"/>
      <c r="F38" s="61"/>
      <c r="G38" s="18"/>
      <c r="H38" s="43">
        <v>8</v>
      </c>
      <c r="I38" s="47" t="s">
        <v>74</v>
      </c>
      <c r="J38" s="34">
        <v>0</v>
      </c>
      <c r="K38" s="29">
        <f t="shared" si="1"/>
        <v>0</v>
      </c>
    </row>
    <row r="39" spans="1:11" ht="12.75">
      <c r="A39" s="8" t="str">
        <f>IF(F39&lt;=K49,IF(K49="N/A","Urbanism","Urbanism *"),"Urbanism")</f>
        <v>Urbanism</v>
      </c>
      <c r="B39" s="34">
        <v>0</v>
      </c>
      <c r="C39" s="35">
        <v>0</v>
      </c>
      <c r="D39" s="2">
        <f aca="true" t="shared" si="4" ref="D39:D50">IF(C39=1,F39,0)</f>
        <v>0</v>
      </c>
      <c r="E39" s="11">
        <v>50</v>
      </c>
      <c r="F39" s="13">
        <f>IF(B39=1,"N/A",E39-(B20+B31+B32+B27+B11+B15+B66+B70)*5-(B42+B46+B50+B49+B40+B41+B42+B43+B44+B45+B47+B48+B49)*10)</f>
        <v>50</v>
      </c>
      <c r="G39" s="15"/>
      <c r="H39" s="43">
        <v>8</v>
      </c>
      <c r="I39" s="47" t="s">
        <v>30</v>
      </c>
      <c r="J39" s="34">
        <v>0</v>
      </c>
      <c r="K39" s="29">
        <f t="shared" si="1"/>
        <v>0</v>
      </c>
    </row>
    <row r="40" spans="1:11" ht="12.75">
      <c r="A40" s="8" t="str">
        <f>IF(F40&lt;=K49,IF(K49="N/A","Monarchy","Monarchy *"),"Monarchy")</f>
        <v>Monarchy</v>
      </c>
      <c r="B40" s="34">
        <v>0</v>
      </c>
      <c r="C40" s="35">
        <v>0</v>
      </c>
      <c r="D40" s="2">
        <f t="shared" si="4"/>
        <v>0</v>
      </c>
      <c r="E40" s="11">
        <v>60</v>
      </c>
      <c r="F40" s="13">
        <f>IF(B40=1,"N/A",E40-(B22+B26+B27+B18+B29+B30+F79+B25+B11+B15+B66+B41)*5-(B42+B39+B46+B50+B49+B43+B44+B45+B47+B48)*10)</f>
        <v>60</v>
      </c>
      <c r="G40" s="18"/>
      <c r="H40" s="25">
        <v>8</v>
      </c>
      <c r="I40" s="44" t="s">
        <v>29</v>
      </c>
      <c r="J40" s="26">
        <v>0</v>
      </c>
      <c r="K40" s="27">
        <f>(J40*J40*H40)+(H40*J40)</f>
        <v>0</v>
      </c>
    </row>
    <row r="41" spans="1:11" ht="12.75">
      <c r="A41" s="8" t="str">
        <f>IF(F41&lt;=K49,IF(K49="N/A","Law","Law *"),"Law")</f>
        <v>Law</v>
      </c>
      <c r="B41" s="34">
        <v>0</v>
      </c>
      <c r="C41" s="35">
        <v>0</v>
      </c>
      <c r="D41" s="2">
        <f t="shared" si="4"/>
        <v>0</v>
      </c>
      <c r="E41" s="11">
        <v>170</v>
      </c>
      <c r="F41" s="13">
        <f>IF(B41=1,"N/A",E41-(B25+B28+B29+B20+B31+B32+F80+B27+B11+B15+B66)*5-B37*20-(B30+B42+B39+B46+B40+B50+B49+B43+B44+B45+B47+B48)*10)</f>
        <v>170</v>
      </c>
      <c r="G41" s="15"/>
      <c r="H41" s="28">
        <v>8</v>
      </c>
      <c r="I41" s="46" t="s">
        <v>75</v>
      </c>
      <c r="J41" s="10">
        <v>0</v>
      </c>
      <c r="K41" s="27">
        <f>(J41*J41*H41)+(H41*J41)</f>
        <v>0</v>
      </c>
    </row>
    <row r="42" spans="1:11" ht="12.75">
      <c r="A42" s="8" t="str">
        <f>IF(F42&lt;=K49,IF(K49="N/A","Military","Military *"),"Military")</f>
        <v>Military</v>
      </c>
      <c r="B42" s="34">
        <v>0</v>
      </c>
      <c r="C42" s="35">
        <v>0</v>
      </c>
      <c r="D42" s="2">
        <f t="shared" si="4"/>
        <v>0</v>
      </c>
      <c r="E42" s="11">
        <v>150</v>
      </c>
      <c r="F42" s="13">
        <f>IF(B42=1,"N/A",E42-B6*20-(B20+B31+B32+B27+B11+B15+B66)*5-(B39+B46+B50+B49+B41+B42+B43+B44+B45+B47+B48)*10)</f>
        <v>150</v>
      </c>
      <c r="G42" s="18"/>
      <c r="H42" s="43">
        <v>9</v>
      </c>
      <c r="I42" s="49" t="s">
        <v>78</v>
      </c>
      <c r="J42" s="34">
        <v>0</v>
      </c>
      <c r="K42" s="29">
        <f t="shared" si="1"/>
        <v>0</v>
      </c>
    </row>
    <row r="43" spans="1:11" ht="12.75">
      <c r="A43" s="8" t="str">
        <f>IF(F43&lt;K49,IF(K49="N/A","Democracy","Democracy *"),"Democracy")</f>
        <v>Democracy</v>
      </c>
      <c r="B43" s="34">
        <v>0</v>
      </c>
      <c r="C43" s="35">
        <v>0</v>
      </c>
      <c r="D43" s="2">
        <f t="shared" si="4"/>
        <v>0</v>
      </c>
      <c r="E43" s="11">
        <v>220</v>
      </c>
      <c r="F43" s="13" t="str">
        <f>IF(B43=1,"N/A",IF(B41=1,E43-(SUM(B3:B9)*10+B13*10)-(B28+B29+B30+B42+B39+B46+B50+B49+B40+B44+B45+B47+B48)*10-B37*25-(B20+B31+B32+B27+B11+B15+B66)*5,"LAW"))</f>
        <v>LAW</v>
      </c>
      <c r="G43" s="18"/>
      <c r="H43" s="43">
        <v>9</v>
      </c>
      <c r="I43" s="47" t="s">
        <v>79</v>
      </c>
      <c r="J43" s="34">
        <v>0</v>
      </c>
      <c r="K43" s="29">
        <f t="shared" si="1"/>
        <v>0</v>
      </c>
    </row>
    <row r="44" spans="1:11" ht="12.75">
      <c r="A44" s="8" t="str">
        <f>IF(F44&lt;=K49,IF(K49="N/A","Philosophy","Philosophy *"),"Philosophy")</f>
        <v>Philosophy</v>
      </c>
      <c r="B44" s="34">
        <v>0</v>
      </c>
      <c r="C44" s="35">
        <v>0</v>
      </c>
      <c r="D44" s="2">
        <f t="shared" si="4"/>
        <v>0</v>
      </c>
      <c r="E44" s="11">
        <v>240</v>
      </c>
      <c r="F44" s="13" t="str">
        <f>IF(B44=1,"N/A",IF(B41=1,E44-(B13+B16+B17+B18)*20-B25*5-B29*20-B37*25-(B20+B31+B32+B27+B11+B15+B66)*5-(B42+B46+B50+B49+B43+B45+B47+B48)*10,"LAW"))</f>
        <v>LAW</v>
      </c>
      <c r="G44" s="18"/>
      <c r="H44" s="43">
        <v>9</v>
      </c>
      <c r="I44" s="47" t="s">
        <v>80</v>
      </c>
      <c r="J44" s="34">
        <v>0</v>
      </c>
      <c r="K44" s="29">
        <f t="shared" si="1"/>
        <v>0</v>
      </c>
    </row>
    <row r="45" spans="1:11" ht="12.75">
      <c r="A45" s="8" t="str">
        <f>IF(F45&lt;=K49,IF(K49="N/A","Naval Warfare","Naval Warfare *"),"Naval Warfare")</f>
        <v>Naval Warfare</v>
      </c>
      <c r="B45" s="34">
        <v>0</v>
      </c>
      <c r="C45" s="35">
        <v>0</v>
      </c>
      <c r="D45" s="2">
        <f t="shared" si="4"/>
        <v>0</v>
      </c>
      <c r="E45" s="11">
        <v>180</v>
      </c>
      <c r="F45" s="13">
        <f>IF(B45=1,"N/A",E45-B9*20-(B20+B31+B32+B27+B11+B15+B66)*5-(B4+B42+B39+B46+B50+B49+B40+B41+B43+B44+B47+B48)*10)</f>
        <v>180</v>
      </c>
      <c r="G45" s="18"/>
      <c r="H45" s="25">
        <v>9</v>
      </c>
      <c r="I45" s="44" t="s">
        <v>31</v>
      </c>
      <c r="J45" s="26">
        <v>0</v>
      </c>
      <c r="K45" s="27">
        <f>(J45*J45*H45)+(H45*J45)</f>
        <v>0</v>
      </c>
    </row>
    <row r="46" spans="1:11" ht="12.75">
      <c r="A46" s="8" t="str">
        <f>IF(F46&lt;=K49,IF(K49="N/A","Public Works","Public Works *"),"Public Works")</f>
        <v>Public Works</v>
      </c>
      <c r="B46" s="34">
        <v>0</v>
      </c>
      <c r="C46" s="35">
        <v>0</v>
      </c>
      <c r="D46" s="2">
        <f t="shared" si="4"/>
        <v>0</v>
      </c>
      <c r="E46" s="11">
        <v>230</v>
      </c>
      <c r="F46" s="13">
        <f>IF(B46=1,"N/A",E46-(B10+B20)*20-(B22+B32+B33+B28+B12+B16+B66)*5-(B43+B40+B50+B49+B39+B41+B42+B43+B44+B45+B46+B47+B48+B50)*10)</f>
        <v>230</v>
      </c>
      <c r="G46" s="18"/>
      <c r="H46" s="28">
        <v>9</v>
      </c>
      <c r="I46" s="46" t="s">
        <v>32</v>
      </c>
      <c r="J46" s="10">
        <v>0</v>
      </c>
      <c r="K46" s="27">
        <f>(J46*J46*H46)+(H46*J46)</f>
        <v>0</v>
      </c>
    </row>
    <row r="47" spans="1:11" ht="12.75">
      <c r="A47" s="8" t="str">
        <f>IF(F47&lt;=K49,IF(K49="N/A","Colonization","Colonization *"),"Colonization")</f>
        <v>Colonization</v>
      </c>
      <c r="B47" s="34">
        <v>0</v>
      </c>
      <c r="C47" s="35">
        <v>0</v>
      </c>
      <c r="D47" s="2">
        <f t="shared" si="4"/>
        <v>0</v>
      </c>
      <c r="E47" s="11">
        <v>230</v>
      </c>
      <c r="F47" s="13">
        <f>IF(B47=1,"N/A",E47-(B31+B32+B29+B13+B17+B66+B11+B70)*5-(B44+B41+B51+B37+B48+B50+B39+B40+B42+B43+B46+B49+B45)*10)</f>
        <v>230</v>
      </c>
      <c r="G47" s="18"/>
      <c r="H47" s="30"/>
      <c r="I47" s="31" t="s">
        <v>35</v>
      </c>
      <c r="J47" s="31"/>
      <c r="K47" s="32">
        <v>0</v>
      </c>
    </row>
    <row r="48" spans="1:11" ht="12.75">
      <c r="A48" s="8" t="str">
        <f>IF(F48&lt;=K49,IF(K49="N/A","Advanced Miltary","Advanced Miltary *"),"Advanced Miltary")</f>
        <v>Advanced Miltary</v>
      </c>
      <c r="B48" s="34">
        <v>0</v>
      </c>
      <c r="C48" s="35">
        <v>0</v>
      </c>
      <c r="D48" s="2">
        <f t="shared" si="4"/>
        <v>0</v>
      </c>
      <c r="E48" s="11">
        <v>260</v>
      </c>
      <c r="F48" s="13">
        <f>IF(B48=1,"N/A",E48-B42*20-(B32+B31+B35+B29+B66+B70+B37)*5-(B44+B41+B39+B40+B50+B49+B43+B42+B45+B46+B47+B48)*10)</f>
        <v>260</v>
      </c>
      <c r="G48" s="18"/>
      <c r="H48" s="30"/>
      <c r="I48" s="31" t="s">
        <v>36</v>
      </c>
      <c r="J48" s="31"/>
      <c r="K48" s="33">
        <f>SUM(K2:K47)</f>
        <v>0</v>
      </c>
    </row>
    <row r="49" spans="1:11" ht="12.75">
      <c r="A49" s="8" t="str">
        <f>IF(F49&lt;=K49,IF(K49="N/A","Evergetism","Evergetism *"),"Evergetism")</f>
        <v>Evergetism</v>
      </c>
      <c r="B49" s="34">
        <v>0</v>
      </c>
      <c r="C49" s="35">
        <v>0</v>
      </c>
      <c r="D49" s="2">
        <f t="shared" si="4"/>
        <v>0</v>
      </c>
      <c r="E49" s="11">
        <v>260</v>
      </c>
      <c r="F49" s="13">
        <f>IF(B49=1,"N/A",E49-(B32+B31+B35+B29+B66+B70+B37)*5-(B44+B41+B39+B40+B50+B42+B43+B45+B46+B47+B48)*10)</f>
        <v>260</v>
      </c>
      <c r="G49" s="18"/>
      <c r="H49" s="37"/>
      <c r="I49" s="38" t="s">
        <v>39</v>
      </c>
      <c r="J49" s="37"/>
      <c r="K49" s="39" t="str">
        <f>IF((SUM(K2:K47)-SUM(D3:D61)&gt;0),(SUM(K2:K47)-SUM(D3:D61)),"N/A")</f>
        <v>N/A</v>
      </c>
    </row>
    <row r="50" spans="1:11" ht="12.75">
      <c r="A50" s="8" t="str">
        <f>IF(F50&lt;=K49,IF(K49="N/A","Provincial Empire","Provincial Empire *"),"Provincial Empire")</f>
        <v>Provincial Empire</v>
      </c>
      <c r="B50" s="34">
        <v>0</v>
      </c>
      <c r="C50" s="35">
        <v>0</v>
      </c>
      <c r="D50" s="2">
        <f t="shared" si="4"/>
        <v>0</v>
      </c>
      <c r="E50" s="11">
        <v>270</v>
      </c>
      <c r="F50" s="13">
        <f>IF(B50=1,"N/A",E50-(B24+B34+B34+B30+B66+B70+B37+B39)*5-(B45+B42+B40+B41+B49+B43+B44+B46+B47+B48)*10)</f>
        <v>270</v>
      </c>
      <c r="G50" s="18"/>
      <c r="H50" s="37"/>
      <c r="I50" s="37"/>
      <c r="J50" s="37"/>
      <c r="K50" s="37"/>
    </row>
    <row r="51" spans="1:11" ht="12.75">
      <c r="A51" s="59" t="s">
        <v>7</v>
      </c>
      <c r="B51" s="60"/>
      <c r="C51" s="60"/>
      <c r="D51" s="60"/>
      <c r="E51" s="60"/>
      <c r="F51" s="61"/>
      <c r="G51" s="18"/>
      <c r="H51" s="37"/>
      <c r="I51" s="37" t="s">
        <v>40</v>
      </c>
      <c r="J51" s="37"/>
      <c r="K51" s="39">
        <v>0</v>
      </c>
    </row>
    <row r="52" spans="1:11" ht="12.75">
      <c r="A52" s="9" t="str">
        <f>IF(F52&lt;=K49,IF(K49="N/A","Mysticism","Mysticism *"),"Mysticism")</f>
        <v>Mysticism</v>
      </c>
      <c r="B52" s="34">
        <v>0</v>
      </c>
      <c r="C52" s="35">
        <v>0</v>
      </c>
      <c r="D52" s="2">
        <f>IF(C52=1,F52,0)</f>
        <v>0</v>
      </c>
      <c r="E52" s="11">
        <v>50</v>
      </c>
      <c r="F52" s="13">
        <f>IF(B52=1,"N/A",E52-(B25+B28+B29+B30+B37+B64+B15+B66)*5-(B27+B32+B31+B33+B34+B35+B68+SUM(B54:B62)*10))</f>
        <v>50</v>
      </c>
      <c r="G52" s="18"/>
      <c r="H52" s="37"/>
      <c r="I52" s="37" t="s">
        <v>41</v>
      </c>
      <c r="J52" s="37"/>
      <c r="K52" s="39" t="str">
        <f>IF(K49="N/A","N/A",SUM(K47-K51))</f>
        <v>N/A</v>
      </c>
    </row>
    <row r="53" spans="1:7" ht="12.75">
      <c r="A53" s="59" t="s">
        <v>8</v>
      </c>
      <c r="B53" s="60"/>
      <c r="C53" s="60"/>
      <c r="D53" s="60"/>
      <c r="E53" s="60"/>
      <c r="F53" s="61"/>
      <c r="G53" s="18"/>
    </row>
    <row r="54" spans="1:7" ht="12.75">
      <c r="A54" s="36" t="str">
        <f>IF(F54&lt;=K49,IF(K49="N/A","Mythology","Mythology *"),"Mythology")</f>
        <v>Mythology</v>
      </c>
      <c r="B54" s="2">
        <v>0</v>
      </c>
      <c r="C54" s="35">
        <v>0</v>
      </c>
      <c r="D54" s="2">
        <f aca="true" t="shared" si="5" ref="D54:D62">IF(C54=1,F54,0)</f>
        <v>0</v>
      </c>
      <c r="E54" s="11">
        <v>60</v>
      </c>
      <c r="F54" s="13">
        <f>IF(B54=1,"N/A",E54-B52*15-(SUM(B55:B62)*10-(B64+B66+B33+B15+B35+B50+B49)*5))</f>
        <v>60</v>
      </c>
      <c r="G54" s="15"/>
    </row>
    <row r="55" spans="1:8" ht="12.75">
      <c r="A55" s="36" t="str">
        <f>IF(F55&lt;=K49,IF(K49="N/A","Deism","Deism *"),"Deism")</f>
        <v>Deism</v>
      </c>
      <c r="B55" s="2">
        <v>0</v>
      </c>
      <c r="C55" s="35">
        <v>0</v>
      </c>
      <c r="D55" s="2">
        <f t="shared" si="5"/>
        <v>0</v>
      </c>
      <c r="E55" s="11">
        <v>80</v>
      </c>
      <c r="F55" s="13">
        <f>IF(B55=1,"N/A",E55-B52*15-(B54+SUM(B56:B62))*10-(B64+B66+B33+B15+B35+B50+B49)*5)</f>
        <v>80</v>
      </c>
      <c r="G55" s="18"/>
      <c r="H55" s="37"/>
    </row>
    <row r="56" spans="1:8" ht="12.75">
      <c r="A56" s="36" t="str">
        <f>IF(F56&lt;=K49,IF(K49="N/A","Oracle","Oracle *"),"Oracle")</f>
        <v>Oracle</v>
      </c>
      <c r="B56" s="2">
        <v>0</v>
      </c>
      <c r="C56" s="35">
        <v>0</v>
      </c>
      <c r="D56" s="2">
        <f t="shared" si="5"/>
        <v>0</v>
      </c>
      <c r="E56" s="11">
        <v>120</v>
      </c>
      <c r="F56" s="13">
        <f>IF(B56=1,"N/A",E56-(B24+B27+B35+B54+B57+B58+B59+B60+B61+B62)*10-(B52+B55)*15-B57*10-(B64+B66+B32+B15+B34+B50+B49)*5)</f>
        <v>120</v>
      </c>
      <c r="G56" s="15"/>
      <c r="H56" s="37"/>
    </row>
    <row r="57" spans="1:8" ht="12.75">
      <c r="A57" s="36" t="str">
        <f>IF(F57&lt;=K49,IF(K49="N/A","Enlightenment","Enlightenment *"),"Enlightenment")</f>
        <v>Enlightenment</v>
      </c>
      <c r="B57" s="2">
        <v>0</v>
      </c>
      <c r="C57" s="35">
        <v>0</v>
      </c>
      <c r="D57" s="2">
        <f t="shared" si="5"/>
        <v>0</v>
      </c>
      <c r="E57" s="11">
        <v>160</v>
      </c>
      <c r="F57" s="13">
        <f>IF(B57=1,"N/A",E57-(B25+B28+B29+B30+B37+B54+B56+SUM(B58:B62))*10-(B52+B55)*15-B58*10-(B64+B66+B33+B15+B35+B50+B49)*5)</f>
        <v>160</v>
      </c>
      <c r="G57" s="18"/>
      <c r="H57" s="37"/>
    </row>
    <row r="58" spans="1:8" ht="12.75">
      <c r="A58" s="36" t="str">
        <f>IF(F58&lt;=K49,IF(K49="N/A","Fundamentalism","Fundamentalism *"),"Fundamentalism")</f>
        <v>Fundamentalism</v>
      </c>
      <c r="B58" s="2">
        <v>0</v>
      </c>
      <c r="C58" s="35">
        <v>0</v>
      </c>
      <c r="D58" s="2">
        <f t="shared" si="5"/>
        <v>0</v>
      </c>
      <c r="E58" s="11">
        <v>160</v>
      </c>
      <c r="F58" s="13">
        <f>IF(B58=1,"N/A",E58-(B55+B54+B56+B57+B59+B60+B61+B62)*10-(B52+B55)*15-(B64+B66+B33+B15+B35+B50+B49)*5)</f>
        <v>160</v>
      </c>
      <c r="G58" s="18"/>
      <c r="H58" s="37"/>
    </row>
    <row r="59" spans="1:8" ht="12.75">
      <c r="A59" s="36" t="str">
        <f>IF(F59&lt;=K49,IF(K49="N/A","Universal Doctrine","Universal Doctrine *"),"Universal Doctrine")</f>
        <v>Universal Doctrine</v>
      </c>
      <c r="B59" s="2">
        <v>0</v>
      </c>
      <c r="C59" s="35">
        <v>0</v>
      </c>
      <c r="D59" s="2">
        <f t="shared" si="5"/>
        <v>0</v>
      </c>
      <c r="E59" s="11">
        <v>160</v>
      </c>
      <c r="F59" s="13">
        <f>IF(B59=1,"N/A",E59-(B52+B56+B55+B57+B60+B61+B62)*10-(B54+B58)*15-(B64+B66+B35+B16+B36+B50+B48+B49)*5)</f>
        <v>160</v>
      </c>
      <c r="G59" s="18"/>
      <c r="H59" s="37"/>
    </row>
    <row r="60" spans="1:8" ht="12.75">
      <c r="A60" s="36" t="str">
        <f>IF(F60&lt;=K49,IF(K49="N/A","Monotheism","Monotheism *"),"Monotheism")</f>
        <v>Monotheism</v>
      </c>
      <c r="B60" s="2">
        <v>0</v>
      </c>
      <c r="C60" s="35">
        <v>0</v>
      </c>
      <c r="D60" s="2">
        <f t="shared" si="5"/>
        <v>0</v>
      </c>
      <c r="E60" s="11">
        <v>230</v>
      </c>
      <c r="F60" s="13" t="str">
        <f>IF(B60=1,"N/A",IF(B57=1,E60-(B13+B54+B56+B59+B61+B62)*10-(B52+B55+B57)*15-B58*20-(B64+B66+B33+B15+B35+B50+B49)*5,"ENL"))</f>
        <v>ENL</v>
      </c>
      <c r="G60" s="18"/>
      <c r="H60" s="37"/>
    </row>
    <row r="61" spans="1:7" ht="12.75">
      <c r="A61" s="36" t="str">
        <f>IF(F61&lt;=K49,IF(K49="N/A","Theology","Theology *"),"Theology")</f>
        <v>Theology</v>
      </c>
      <c r="B61" s="10">
        <v>0</v>
      </c>
      <c r="C61" s="35">
        <v>0</v>
      </c>
      <c r="D61" s="2">
        <f t="shared" si="5"/>
        <v>0</v>
      </c>
      <c r="E61" s="12">
        <v>250</v>
      </c>
      <c r="F61" s="14" t="str">
        <f>IF(B61=1,"N/A",IF(B57=1,E61-(B25+B64+B66+B33+B15+B35+B50+B49)*5-(B52+B55+B57)*15-(B58+B54+B60+B56+B62)*10-B59*20,"ENL"))</f>
        <v>ENL</v>
      </c>
      <c r="G61" s="18"/>
    </row>
    <row r="62" spans="1:7" ht="12.75">
      <c r="A62" s="36" t="str">
        <f>IF(F62&lt;=K49,IF(K49="N/A","Diaspora","Diaspora *"),"Diaspora")</f>
        <v>Diaspora</v>
      </c>
      <c r="B62" s="2">
        <v>0</v>
      </c>
      <c r="C62" s="35">
        <v>0</v>
      </c>
      <c r="D62" s="2">
        <f t="shared" si="5"/>
        <v>0</v>
      </c>
      <c r="E62" s="11">
        <v>270</v>
      </c>
      <c r="F62" s="13">
        <f>IF(B62=1,"N/A",E62-(SUM(B54:B61))*10-(B61)*15-(B66+B68+B38+B19+B39+B50+B49)*5-B45*20)</f>
        <v>270</v>
      </c>
      <c r="G62" s="18"/>
    </row>
    <row r="63" spans="3:7" ht="12.75">
      <c r="C63" t="s">
        <v>48</v>
      </c>
      <c r="G63" s="18"/>
    </row>
    <row r="64" spans="1:7" ht="12.75">
      <c r="A64" s="36" t="str">
        <f>IF(F64&lt;=K49,IF(K49="N/A","Monument","Monument *"),"Monument")</f>
        <v>Monument</v>
      </c>
      <c r="B64" s="2">
        <v>0</v>
      </c>
      <c r="C64" s="35">
        <v>0</v>
      </c>
      <c r="D64" s="2">
        <f>IF(C64=1,F64,0)</f>
        <v>0</v>
      </c>
      <c r="E64" s="11">
        <v>180</v>
      </c>
      <c r="F64" s="13">
        <f>IF(B64=1,"N/A",E64-(B31+B37+B38+B41+B44+B54+B55+B56+B57+B58+B59+B62)*10-(B60+B63)*15-B62*10-SUM(B3:B9)*10-(B66+B33+B15+B35+B50+B49+B20)*5)</f>
        <v>180</v>
      </c>
      <c r="G64" s="18"/>
    </row>
    <row r="65" spans="3:7" ht="12.75">
      <c r="C65" t="s">
        <v>49</v>
      </c>
      <c r="G65" s="18"/>
    </row>
    <row r="66" spans="1:6" ht="12.75">
      <c r="A66" s="36" t="str">
        <f>IF(F66&lt;=K49,IF(K49="N/A","Theocracy","Theocracy *"),"Theocracy")</f>
        <v>Theocracy</v>
      </c>
      <c r="B66" s="2">
        <v>0</v>
      </c>
      <c r="C66" s="35">
        <v>0</v>
      </c>
      <c r="D66" s="2">
        <f>IF(C66=1,F66,0)</f>
        <v>0</v>
      </c>
      <c r="E66" s="11">
        <v>80</v>
      </c>
      <c r="F66" s="13">
        <f>IF(B66=1,"N/A",E66-(SUM(B54:B62)*10)-SUM(B39:B50)*10-(B33+B15+B35+B50+B49+B64)*5)</f>
        <v>80</v>
      </c>
    </row>
    <row r="67" spans="3:7" ht="12.75">
      <c r="C67" t="s">
        <v>50</v>
      </c>
      <c r="G67" s="18"/>
    </row>
    <row r="68" spans="1:6" ht="12.75">
      <c r="A68" s="36" t="str">
        <f>IF(F68&lt;=K49,IF(K49="N/A","Wonder of the World","Wonder of the World *"),"Wonder of the World")</f>
        <v>Wonder of the World</v>
      </c>
      <c r="B68" s="2">
        <v>0</v>
      </c>
      <c r="C68" s="35">
        <v>0</v>
      </c>
      <c r="D68" s="2">
        <f>IF(C68=1,F68,0)</f>
        <v>0</v>
      </c>
      <c r="E68" s="11">
        <v>280</v>
      </c>
      <c r="F68" s="13">
        <f>IF(B68=1,"N/A",E68-(SUM(B3:B11)*10)-SUM(B27:B35)*5-(B15+B23+B20)*5)</f>
        <v>280</v>
      </c>
    </row>
    <row r="69" spans="3:7" ht="12.75">
      <c r="C69" t="s">
        <v>51</v>
      </c>
      <c r="G69" s="18"/>
    </row>
    <row r="70" spans="1:6" ht="12.75">
      <c r="A70" s="36" t="str">
        <f>IF(F70&lt;=K49,IF(K49="N/A","Written Record","Written Record *"),"Written Record")</f>
        <v>Written Record</v>
      </c>
      <c r="B70" s="2">
        <v>0</v>
      </c>
      <c r="C70" s="35">
        <v>0</v>
      </c>
      <c r="D70" s="2">
        <f>IF(C70=1,F70,0)</f>
        <v>0</v>
      </c>
      <c r="E70" s="11">
        <v>60</v>
      </c>
      <c r="F70" s="13">
        <f>IF(B70=1,"N/A",E70-(SUM(B39:B45)+B15+B19+B20+B22+B23+B50+B46+B47+B49+B21)*10-(B16+B17+B18+B25)*20-B48*5)</f>
        <v>60</v>
      </c>
    </row>
    <row r="71" spans="3:7" ht="12.75">
      <c r="C71" t="s">
        <v>1</v>
      </c>
      <c r="G71" s="18"/>
    </row>
    <row r="72" spans="1:6" ht="12.75">
      <c r="A72" s="36" t="str">
        <f>IF(F72&lt;=K51,IF(K51="N/A","Naval Engineering","Naval Engineering *"),"Naval Engineering")</f>
        <v>Naval Engineering</v>
      </c>
      <c r="B72" s="2">
        <v>0</v>
      </c>
      <c r="C72" s="35">
        <v>0</v>
      </c>
      <c r="D72" s="2">
        <f>IF(C72=1,F72,0)</f>
        <v>0</v>
      </c>
      <c r="E72" s="11">
        <v>120</v>
      </c>
      <c r="F72" s="13">
        <f>IF(B72=1,"N/A",E72-(SUM(B3:B11)+B13+B15+B19+B20+B21+B22+B23)*10-(B16+B17+B18)*20)</f>
        <v>120</v>
      </c>
    </row>
    <row r="73" ht="12.75">
      <c r="G73" s="18"/>
    </row>
    <row r="75" ht="12.75">
      <c r="G75" s="18"/>
    </row>
  </sheetData>
  <mergeCells count="9">
    <mergeCell ref="A53:F53"/>
    <mergeCell ref="A26:F26"/>
    <mergeCell ref="A36:F36"/>
    <mergeCell ref="A38:F38"/>
    <mergeCell ref="A51:F51"/>
    <mergeCell ref="A2:F2"/>
    <mergeCell ref="A12:F12"/>
    <mergeCell ref="A14:F14"/>
    <mergeCell ref="A24:F24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Jackstar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Jacks</dc:creator>
  <cp:keywords/>
  <dc:description/>
  <cp:lastModifiedBy>..</cp:lastModifiedBy>
  <dcterms:created xsi:type="dcterms:W3CDTF">2002-06-30T05:47:10Z</dcterms:created>
  <dcterms:modified xsi:type="dcterms:W3CDTF">2006-01-03T23:19:56Z</dcterms:modified>
  <cp:category/>
  <cp:version/>
  <cp:contentType/>
  <cp:contentStatus/>
</cp:coreProperties>
</file>